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08"/>
  <workbookPr autoCompressPictures="0" defaultThemeVersion="124226"/>
  <mc:AlternateContent xmlns:mc="http://schemas.openxmlformats.org/markup-compatibility/2006">
    <mc:Choice Requires="x15">
      <x15ac:absPath xmlns:x15ac="http://schemas.microsoft.com/office/spreadsheetml/2010/11/ac" url="/Users/Nathalie/Library/Mobile Documents/com~apple~CloudDocs/Documents CDPQ divers/BOVINS/Minute bovine - articles/2022/Mai 2022/"/>
    </mc:Choice>
  </mc:AlternateContent>
  <xr:revisionPtr revIDLastSave="0" documentId="13_ncr:1_{66CAF93B-EC7A-0E41-9804-34E85A127D59}" xr6:coauthVersionLast="45" xr6:coauthVersionMax="47" xr10:uidLastSave="{00000000-0000-0000-0000-000000000000}"/>
  <bookViews>
    <workbookView xWindow="7280" yWindow="460" windowWidth="49080" windowHeight="24820" xr2:uid="{00000000-000D-0000-FFFF-FFFF00000000}"/>
  </bookViews>
  <sheets>
    <sheet name="Coût taure de remplacement" sheetId="1" r:id="rId1"/>
    <sheet name="Vente Génisse encan+ ASRA" sheetId="3" r:id="rId2"/>
  </sheets>
  <definedNames>
    <definedName name="_xlnm.Print_Area" localSheetId="0">'Coût taure de remplacement'!$A$1:$O$45</definedName>
    <definedName name="_xlnm.Print_Area" localSheetId="1">'Vente Génisse encan+ ASRA'!$A$4:$J$36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A2" i="1" l="1"/>
  <c r="B18" i="1" l="1"/>
  <c r="H16" i="1"/>
  <c r="H10" i="1"/>
  <c r="B12" i="1"/>
  <c r="B25" i="1"/>
  <c r="B19" i="1"/>
  <c r="B16" i="1"/>
  <c r="H6" i="1"/>
  <c r="B10" i="1"/>
  <c r="B22" i="1" s="1"/>
  <c r="F24" i="1" l="1"/>
  <c r="G22" i="1"/>
  <c r="G23" i="1"/>
  <c r="F25" i="1"/>
  <c r="H25" i="1" s="1"/>
  <c r="F23" i="1"/>
  <c r="F22" i="1"/>
  <c r="F21" i="1"/>
  <c r="F20" i="1"/>
  <c r="H20" i="1" s="1"/>
  <c r="F19" i="1"/>
  <c r="F13" i="1"/>
  <c r="F12" i="1"/>
  <c r="F16" i="1"/>
  <c r="F15" i="1"/>
  <c r="F14" i="1"/>
  <c r="F11" i="1"/>
  <c r="H11" i="1" s="1"/>
  <c r="F10" i="1"/>
  <c r="G21" i="1" l="1"/>
  <c r="H21" i="1" s="1"/>
  <c r="H22" i="1"/>
  <c r="G19" i="1"/>
  <c r="H19" i="1" s="1"/>
  <c r="H23" i="1"/>
  <c r="B13" i="1"/>
  <c r="E33" i="1" l="1"/>
  <c r="E6" i="1"/>
  <c r="B24" i="1" s="1"/>
  <c r="F5" i="3" l="1"/>
  <c r="B6" i="3" l="1"/>
  <c r="B7" i="3" s="1"/>
  <c r="B8" i="3" s="1"/>
  <c r="C10" i="3" s="1"/>
  <c r="G13" i="1"/>
  <c r="G14" i="1"/>
  <c r="H13" i="1" l="1"/>
  <c r="G10" i="1"/>
  <c r="H14" i="1"/>
  <c r="G12" i="1"/>
  <c r="H12" i="1" l="1"/>
  <c r="B17" i="1" l="1"/>
  <c r="B27" i="1" l="1"/>
  <c r="B23" i="1"/>
</calcChain>
</file>

<file path=xl/sharedStrings.xml><?xml version="1.0" encoding="utf-8"?>
<sst xmlns="http://schemas.openxmlformats.org/spreadsheetml/2006/main" count="69" uniqueCount="54">
  <si>
    <t>Calculateur taure de remplacement</t>
  </si>
  <si>
    <t>Coût de remplacement versus vente à l'encan après sevrage</t>
  </si>
  <si>
    <t>Prix encan ($/lb)</t>
  </si>
  <si>
    <t>Compensation ASRA ($/lb)</t>
  </si>
  <si>
    <t>Nombre de jours de pâturage</t>
  </si>
  <si>
    <t>Nombre de jours d'alimentation d'hiver</t>
  </si>
  <si>
    <t>Gain de poids par jour post-sevrage (lb/j)</t>
  </si>
  <si>
    <t>Nombre de génisses élevées</t>
  </si>
  <si>
    <t>Poids de sevrage (lb)</t>
  </si>
  <si>
    <t>Date de sevrage</t>
  </si>
  <si>
    <t>Coût d'alimentation d'une taure</t>
  </si>
  <si>
    <t>Date de remise au pâturage</t>
  </si>
  <si>
    <t>$/tm</t>
  </si>
  <si>
    <t>$/kg</t>
  </si>
  <si>
    <t>Kg/j</t>
  </si>
  <si>
    <t>$/tête/année</t>
  </si>
  <si>
    <t>Poids lors de la remise au pâturage (lb)</t>
  </si>
  <si>
    <t>Fourrage (hiver)</t>
  </si>
  <si>
    <t xml:space="preserve">       Mortalité post-sevrage (%)</t>
  </si>
  <si>
    <t>Grain (hiver)</t>
  </si>
  <si>
    <t>Coût de l'alimentation</t>
  </si>
  <si>
    <t>Pâturage</t>
  </si>
  <si>
    <t>Litière ($/tête)</t>
  </si>
  <si>
    <t>Minéraux</t>
  </si>
  <si>
    <t>Vétérinaire et médicaments ($/tête)</t>
  </si>
  <si>
    <t>Sels</t>
  </si>
  <si>
    <t>Autres frais d'entretien ($/tête)</t>
  </si>
  <si>
    <t>Autres aliments</t>
  </si>
  <si>
    <t>Coût taureau/taure ($/tête)</t>
  </si>
  <si>
    <t>Litière (hiver)</t>
  </si>
  <si>
    <t>Coût post-sevrage ($/tête)</t>
  </si>
  <si>
    <t>Coût d'alimentation d'un taureau</t>
  </si>
  <si>
    <t>Coût développement des taures ($/tête)</t>
  </si>
  <si>
    <t>Nombre de taures vides</t>
  </si>
  <si>
    <t>Taux de conception</t>
  </si>
  <si>
    <t>Prix encan taure vide ($/lb)</t>
  </si>
  <si>
    <t>Poids encan taure vide (lb)</t>
  </si>
  <si>
    <t>Coût pré-sevrage ($/tête)</t>
  </si>
  <si>
    <t>Coût total ajusté du développement des taures ($/tête)</t>
  </si>
  <si>
    <t>Coût de production $/taure (+/- 18mois d'âge):</t>
  </si>
  <si>
    <t>Taureaux</t>
  </si>
  <si>
    <t>Prix d'achat du taureau</t>
  </si>
  <si>
    <t>Nb. de taures saillies/année</t>
  </si>
  <si>
    <t>Années d'utilisation</t>
  </si>
  <si>
    <t>Poids mature (lb)</t>
  </si>
  <si>
    <t>Prix de réforme ($/lb)</t>
  </si>
  <si>
    <t>$/alimentation annuelle</t>
  </si>
  <si>
    <t>Coût test de semence et vaccination</t>
  </si>
  <si>
    <t>Calculateur génisses de remplacement</t>
  </si>
  <si>
    <t>Valeur marchande d'une génisse</t>
  </si>
  <si>
    <t>Valeur génisse encan + ASRA ($/lb)</t>
  </si>
  <si>
    <t>Valeur génisse encan + ASRA ($/tête)</t>
  </si>
  <si>
    <t>Prix génisse vendu - ASRA reçu</t>
  </si>
  <si>
    <t>Valeur minimale d'une génisse de remplacement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</si>
</sst>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 #,##0.00_)\ &quot;$&quot;_ ;_ * \(#,##0.00\)\ &quot;$&quot;_ ;_ * &quot;-&quot;??_)\ &quot;$&quot;_ ;_ @_ "/>
    <numFmt numFmtId="164" formatCode="&quot;$&quot;#,##0_);[Red]\(&quot;$&quot;#,##0\)"/>
    <numFmt numFmtId="165" formatCode="_(&quot;$&quot;* #,##0.00_);_(&quot;$&quot;* \(#,##0.00\);_(&quot;$&quot;* &quot;-&quot;??_);_(@_)"/>
    <numFmt numFmtId="166" formatCode="&quot;$&quot;#,##0.00"/>
    <numFmt numFmtId="167" formatCode="_ * #,##0_)\ &quot;$&quot;_ ;_ * \(#,##0\)\ &quot;$&quot;_ ;_ * &quot;-&quot;??_)\ &quot;$&quot;_ ;_ @_ "/>
  </numFmts>
  <fonts count="21" x14ac:knownFonts="1">
    <font>
      <sz val="11"/>
      <color theme="1"/>
      <name val="Calibri"/>
      <family val="2"/>
      <scheme val="minor"/>
    </font>
    <font>
      <sz val="11"/>
      <color theme="1"/>
      <name val="Calibri"/>
      <family val="2"/>
      <scheme val="minor"/>
    </font>
    <font>
      <sz val="11"/>
      <color rgb="FFFF0000"/>
      <name val="Calibri"/>
      <family val="2"/>
      <scheme val="minor"/>
    </font>
    <font>
      <sz val="12"/>
      <name val="Calibri"/>
      <family val="2"/>
      <scheme val="minor"/>
    </font>
    <font>
      <sz val="12"/>
      <color theme="1"/>
      <name val="Calibri"/>
      <family val="2"/>
      <scheme val="minor"/>
    </font>
    <font>
      <sz val="12"/>
      <color rgb="FF000000"/>
      <name val="Calibri"/>
      <family val="2"/>
      <scheme val="minor"/>
    </font>
    <font>
      <b/>
      <sz val="12"/>
      <color rgb="FF000000"/>
      <name val="Calibri"/>
      <family val="2"/>
      <scheme val="minor"/>
    </font>
    <font>
      <b/>
      <sz val="12"/>
      <name val="Calibri"/>
      <family val="2"/>
      <scheme val="minor"/>
    </font>
    <font>
      <sz val="8"/>
      <name val="Verdana"/>
      <family val="2"/>
    </font>
    <font>
      <b/>
      <sz val="14"/>
      <name val="Calibri"/>
      <family val="2"/>
      <scheme val="minor"/>
    </font>
    <font>
      <sz val="12"/>
      <color theme="0"/>
      <name val="Calibri"/>
      <family val="2"/>
      <scheme val="minor"/>
    </font>
    <font>
      <sz val="11"/>
      <name val="Calibri"/>
      <family val="2"/>
      <scheme val="minor"/>
    </font>
    <font>
      <b/>
      <sz val="14"/>
      <color theme="0"/>
      <name val="Calibri"/>
      <family val="2"/>
      <scheme val="minor"/>
    </font>
    <font>
      <i/>
      <sz val="24"/>
      <name val="Calibri"/>
      <family val="2"/>
      <scheme val="minor"/>
    </font>
    <font>
      <i/>
      <sz val="15"/>
      <name val="Calibri"/>
      <family val="2"/>
      <scheme val="minor"/>
    </font>
    <font>
      <i/>
      <sz val="16"/>
      <name val="Calibri"/>
      <family val="2"/>
      <scheme val="minor"/>
    </font>
    <font>
      <i/>
      <sz val="10"/>
      <name val="Calibri"/>
      <family val="2"/>
      <scheme val="minor"/>
    </font>
    <font>
      <i/>
      <sz val="11"/>
      <name val="Calibri"/>
      <family val="2"/>
      <scheme val="minor"/>
    </font>
    <font>
      <b/>
      <sz val="12"/>
      <color theme="0"/>
      <name val="Calibri"/>
      <family val="2"/>
      <scheme val="minor"/>
    </font>
    <font>
      <b/>
      <sz val="16"/>
      <color theme="0"/>
      <name val="Calibri"/>
      <family val="2"/>
      <scheme val="minor"/>
    </font>
    <font>
      <u/>
      <sz val="11"/>
      <color theme="1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indexed="64"/>
      </top>
      <bottom/>
      <diagonal/>
    </border>
    <border>
      <left/>
      <right/>
      <top style="thin">
        <color indexed="64"/>
      </top>
      <bottom/>
      <diagonal/>
    </border>
    <border>
      <left style="thin">
        <color theme="0"/>
      </left>
      <right style="thin">
        <color theme="0"/>
      </right>
      <top style="thin">
        <color theme="0"/>
      </top>
      <bottom/>
      <diagonal/>
    </border>
    <border>
      <left style="thin">
        <color theme="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top/>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67">
    <xf numFmtId="0" fontId="0" fillId="0" borderId="0" xfId="0"/>
    <xf numFmtId="44"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horizontal="center" vertical="center" wrapText="1"/>
    </xf>
    <xf numFmtId="0" fontId="15" fillId="0" borderId="0" xfId="0" applyFont="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center" wrapText="1"/>
    </xf>
    <xf numFmtId="2" fontId="3" fillId="0" borderId="1" xfId="0" applyNumberFormat="1"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9" fontId="7" fillId="2" borderId="1" xfId="2" applyFont="1" applyFill="1" applyBorder="1" applyAlignment="1">
      <alignment horizontal="center" vertical="center" wrapText="1"/>
    </xf>
    <xf numFmtId="164" fontId="11" fillId="0" borderId="0" xfId="0" applyNumberFormat="1" applyFont="1" applyAlignment="1">
      <alignment horizontal="center" vertical="center" wrapText="1"/>
    </xf>
    <xf numFmtId="0" fontId="17" fillId="0" borderId="0" xfId="0" applyFont="1" applyAlignment="1">
      <alignment horizontal="center" vertical="center" wrapText="1"/>
    </xf>
    <xf numFmtId="0" fontId="3" fillId="2" borderId="1" xfId="0" applyFont="1" applyFill="1" applyBorder="1" applyAlignment="1">
      <alignment horizontal="center" vertical="center" wrapText="1"/>
    </xf>
    <xf numFmtId="164" fontId="19" fillId="3" borderId="5" xfId="0" applyNumberFormat="1" applyFont="1" applyFill="1" applyBorder="1" applyAlignment="1">
      <alignment horizontal="center" vertical="center" wrapText="1"/>
    </xf>
    <xf numFmtId="15" fontId="3" fillId="2" borderId="1" xfId="0" applyNumberFormat="1" applyFont="1" applyFill="1" applyBorder="1" applyAlignment="1" applyProtection="1">
      <alignment horizontal="center" vertical="center" wrapText="1"/>
      <protection locked="0"/>
    </xf>
    <xf numFmtId="164" fontId="3" fillId="0" borderId="0" xfId="0" applyNumberFormat="1" applyFont="1" applyAlignment="1">
      <alignment horizontal="center" vertical="center" wrapText="1"/>
    </xf>
    <xf numFmtId="9" fontId="3" fillId="2" borderId="1" xfId="2" applyFont="1" applyFill="1" applyBorder="1" applyAlignment="1" applyProtection="1">
      <alignment horizontal="center" vertical="center" wrapText="1"/>
      <protection locked="0"/>
    </xf>
    <xf numFmtId="167" fontId="3" fillId="2" borderId="1" xfId="0" applyNumberFormat="1" applyFont="1" applyFill="1" applyBorder="1" applyAlignment="1" applyProtection="1">
      <alignment horizontal="center" vertical="center" wrapText="1"/>
      <protection locked="0"/>
    </xf>
    <xf numFmtId="0" fontId="18" fillId="3" borderId="8"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5" xfId="0" applyFont="1" applyFill="1" applyBorder="1" applyAlignment="1">
      <alignment horizontal="center"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10" fillId="3" borderId="1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167" fontId="9" fillId="0" borderId="1"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4" fillId="2" borderId="1" xfId="0"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167" fontId="12" fillId="3" borderId="1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167" fontId="3" fillId="4" borderId="1" xfId="0" applyNumberFormat="1" applyFont="1" applyFill="1" applyBorder="1" applyAlignment="1">
      <alignment horizontal="center" vertical="center" wrapText="1"/>
    </xf>
    <xf numFmtId="167" fontId="3" fillId="4" borderId="1" xfId="0" applyNumberFormat="1" applyFont="1" applyFill="1" applyBorder="1" applyAlignment="1" applyProtection="1">
      <alignment horizontal="center" vertical="center" wrapText="1"/>
      <protection locked="0"/>
    </xf>
    <xf numFmtId="167" fontId="3" fillId="4" borderId="1" xfId="1" applyNumberFormat="1" applyFont="1" applyFill="1" applyBorder="1" applyAlignment="1" applyProtection="1">
      <alignment horizontal="center" vertical="center" wrapText="1"/>
      <protection locked="0"/>
    </xf>
    <xf numFmtId="164" fontId="7" fillId="4" borderId="1" xfId="0" applyNumberFormat="1" applyFont="1" applyFill="1" applyBorder="1" applyAlignment="1">
      <alignment horizontal="center" vertical="center" wrapText="1"/>
    </xf>
    <xf numFmtId="1" fontId="3" fillId="4" borderId="1" xfId="2" applyNumberFormat="1" applyFont="1" applyFill="1" applyBorder="1" applyAlignment="1" applyProtection="1">
      <alignment horizontal="center" vertical="center" wrapText="1"/>
      <protection locked="0"/>
    </xf>
    <xf numFmtId="166" fontId="3" fillId="4" borderId="1" xfId="0" applyNumberFormat="1"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167" fontId="7"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44" fontId="11" fillId="4" borderId="1" xfId="1" applyNumberFormat="1" applyFont="1" applyFill="1" applyBorder="1" applyAlignment="1" applyProtection="1">
      <alignment horizontal="center" vertical="center" wrapText="1"/>
      <protection locked="0"/>
    </xf>
    <xf numFmtId="2" fontId="3" fillId="4" borderId="1" xfId="0" applyNumberFormat="1" applyFont="1" applyFill="1" applyBorder="1" applyAlignment="1" applyProtection="1">
      <alignment horizontal="center" vertical="center" wrapText="1"/>
      <protection locked="0"/>
    </xf>
    <xf numFmtId="167" fontId="11" fillId="4"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1" fontId="7" fillId="4" borderId="1" xfId="0" applyNumberFormat="1" applyFont="1" applyFill="1" applyBorder="1" applyAlignment="1">
      <alignment horizontal="center" vertical="center" wrapText="1"/>
    </xf>
    <xf numFmtId="0" fontId="20" fillId="0" borderId="0" xfId="3" applyAlignment="1">
      <alignment horizontal="center" vertical="center" wrapText="1"/>
    </xf>
    <xf numFmtId="44" fontId="3" fillId="4" borderId="1" xfId="0" applyNumberFormat="1" applyFont="1" applyFill="1" applyBorder="1" applyAlignment="1" applyProtection="1">
      <alignment vertical="center" wrapText="1"/>
      <protection locked="0"/>
    </xf>
    <xf numFmtId="0" fontId="18"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8" xfId="0" applyFont="1" applyFill="1" applyBorder="1" applyAlignment="1">
      <alignment horizontal="center" vertical="center" wrapText="1"/>
    </xf>
    <xf numFmtId="1" fontId="3" fillId="2" borderId="1" xfId="0" applyNumberFormat="1"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10" fillId="3" borderId="0" xfId="0" applyFont="1" applyFill="1" applyAlignment="1">
      <alignment horizontal="center" vertical="center" wrapText="1"/>
    </xf>
    <xf numFmtId="0" fontId="13" fillId="0" borderId="0" xfId="0" applyFont="1" applyAlignment="1">
      <alignment horizontal="center" vertical="center" wrapText="1"/>
    </xf>
  </cellXfs>
  <cellStyles count="4">
    <cellStyle name="Lien hypertexte" xfId="3" builtinId="8"/>
    <cellStyle name="Monétaire" xfId="1" builtinId="4"/>
    <cellStyle name="Normal" xfId="0" builtinId="0"/>
    <cellStyle name="Pourcentage" xfId="2" builtin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westernbeef.org/pdfs/fact_sheets/2012/2012.06_Raising_Replacements_WhatistheCost.pdf"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314326</xdr:colOff>
      <xdr:row>0</xdr:row>
      <xdr:rowOff>238125</xdr:rowOff>
    </xdr:from>
    <xdr:to>
      <xdr:col>4</xdr:col>
      <xdr:colOff>9526</xdr:colOff>
      <xdr:row>1</xdr:row>
      <xdr:rowOff>204897</xdr:rowOff>
    </xdr:to>
    <xdr:pic>
      <xdr:nvPicPr>
        <xdr:cNvPr id="2" name="Picture 1" descr="WESTERNBEEF_logo_RGB_sml.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676776" y="238125"/>
          <a:ext cx="2162175" cy="766872"/>
        </a:xfrm>
        <a:prstGeom prst="rect">
          <a:avLst/>
        </a:prstGeom>
      </xdr:spPr>
    </xdr:pic>
    <xdr:clientData/>
  </xdr:twoCellAnchor>
  <xdr:twoCellAnchor>
    <xdr:from>
      <xdr:col>0</xdr:col>
      <xdr:colOff>1</xdr:colOff>
      <xdr:row>2</xdr:row>
      <xdr:rowOff>12698</xdr:rowOff>
    </xdr:from>
    <xdr:to>
      <xdr:col>8</xdr:col>
      <xdr:colOff>1209676</xdr:colOff>
      <xdr:row>3</xdr:row>
      <xdr:rowOff>313266</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000-000003000000}"/>
            </a:ext>
          </a:extLst>
        </xdr:cNvPr>
        <xdr:cNvSpPr txBox="1"/>
      </xdr:nvSpPr>
      <xdr:spPr>
        <a:xfrm>
          <a:off x="1" y="1358898"/>
          <a:ext cx="13333942" cy="15621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tx1">
                  <a:lumMod val="50000"/>
                  <a:lumOff val="50000"/>
                </a:schemeClr>
              </a:solidFill>
            </a:rPr>
            <a:t>Cette calculatrice de base vous aidera à calculer le coût de développement de taures de remplacement. Le coût le plus élevé pour les taures de remplacement est le coût d'opportunité (leur valeur marchande au sevrage) lorsque vous choisissez de les conserver plutôt que de les vendre comme veaux sevrés. Pour utiliser la calculatrice, complétez seulement les </a:t>
          </a:r>
          <a:r>
            <a:rPr lang="en-US" sz="1100" b="1" i="1">
              <a:solidFill>
                <a:schemeClr val="tx1"/>
              </a:solidFill>
            </a:rPr>
            <a:t>cellules </a:t>
          </a:r>
          <a:r>
            <a:rPr lang="en-US" sz="1100" b="1" i="1" cap="none" spc="0">
              <a:ln w="0"/>
              <a:solidFill>
                <a:schemeClr val="tx1"/>
              </a:solidFill>
              <a:effectLst>
                <a:outerShdw blurRad="38100" dist="19050" dir="2700000" algn="tl" rotWithShape="0">
                  <a:schemeClr val="dk1">
                    <a:alpha val="40000"/>
                  </a:schemeClr>
                </a:outerShdw>
              </a:effectLst>
              <a:latin typeface="+mn-lt"/>
              <a:ea typeface="+mn-ea"/>
              <a:cs typeface="+mn-cs"/>
            </a:rPr>
            <a:t>jaunes avec vos données</a:t>
          </a:r>
          <a:r>
            <a:rPr lang="en-US" sz="1100" i="1">
              <a:solidFill>
                <a:schemeClr val="tx1">
                  <a:lumMod val="50000"/>
                  <a:lumOff val="50000"/>
                </a:schemeClr>
              </a:solidFill>
            </a:rPr>
            <a:t>. Veuillez également lire la fiche d'information de la WBDC sur le coût d'élevage des génisses</a:t>
          </a:r>
          <a:r>
            <a:rPr lang="en-US" sz="1100" i="1" baseline="0">
              <a:solidFill>
                <a:schemeClr val="tx1">
                  <a:lumMod val="50000"/>
                  <a:lumOff val="50000"/>
                </a:schemeClr>
              </a:solidFill>
            </a:rPr>
            <a:t> </a:t>
          </a:r>
          <a:r>
            <a:rPr lang="en-US" sz="1100" i="1">
              <a:solidFill>
                <a:schemeClr val="tx1">
                  <a:lumMod val="50000"/>
                  <a:lumOff val="50000"/>
                </a:schemeClr>
              </a:solidFill>
            </a:rPr>
            <a:t>de remplacements, disponible (en</a:t>
          </a:r>
          <a:r>
            <a:rPr lang="en-US" sz="1100" i="1" baseline="0">
              <a:solidFill>
                <a:schemeClr val="tx1">
                  <a:lumMod val="50000"/>
                  <a:lumOff val="50000"/>
                </a:schemeClr>
              </a:solidFill>
            </a:rPr>
            <a:t> anglais) </a:t>
          </a:r>
          <a:r>
            <a:rPr lang="en-US" sz="1100" i="1">
              <a:solidFill>
                <a:schemeClr val="tx1">
                  <a:lumMod val="50000"/>
                  <a:lumOff val="50000"/>
                </a:schemeClr>
              </a:solidFill>
            </a:rPr>
            <a:t>sur le site Web de la WBDC à l'adresse : </a:t>
          </a:r>
          <a:r>
            <a:rPr lang="en-US" sz="1100" i="1" baseline="0">
              <a:solidFill>
                <a:schemeClr val="tx1">
                  <a:lumMod val="50000"/>
                  <a:lumOff val="50000"/>
                </a:schemeClr>
              </a:solidFill>
            </a:rPr>
            <a:t> </a:t>
          </a:r>
          <a:r>
            <a:rPr lang="en-US" sz="1100" i="1" u="sng">
              <a:solidFill>
                <a:srgbClr val="00B0F0"/>
              </a:solidFill>
            </a:rPr>
            <a:t>http://westernbeef.org/pdfs/fact_sheets/2012/2012.06_Raising_Replacements_WhatistheCost.pdf</a:t>
          </a:r>
          <a:r>
            <a:rPr lang="en-US" sz="1100" i="1" u="sng" baseline="0">
              <a:solidFill>
                <a:srgbClr val="00B0F0"/>
              </a:solidFill>
            </a:rPr>
            <a:t> </a:t>
          </a:r>
          <a:r>
            <a:rPr lang="en-US" sz="1100" i="1" u="sng">
              <a:solidFill>
                <a:srgbClr val="00B0F0"/>
              </a:solidFill>
            </a:rPr>
            <a:t> </a:t>
          </a:r>
        </a:p>
        <a:p>
          <a:endParaRPr lang="en-US" sz="1100" i="1" u="sng">
            <a:solidFill>
              <a:srgbClr val="00B0F0"/>
            </a:solidFill>
          </a:endParaRPr>
        </a:p>
        <a:p>
          <a:r>
            <a:rPr lang="en-US" sz="1100" i="1">
              <a:solidFill>
                <a:schemeClr val="tx1">
                  <a:lumMod val="50000"/>
                  <a:lumOff val="50000"/>
                </a:schemeClr>
              </a:solidFill>
            </a:rPr>
            <a:t>Avis de non-responsabilité : cette calculatrice est fournie sans garantie « telle quelle ». WBDC (une division de PAMI) n'assume aucune responsabilité quant aux pertes ou dommages causés ou prétendument causés par l'utilisation de cette calculatrice.</a:t>
          </a:r>
        </a:p>
        <a:p>
          <a:endParaRPr lang="en-US" sz="1100" i="1">
            <a:solidFill>
              <a:schemeClr val="tx1">
                <a:lumMod val="50000"/>
                <a:lumOff val="50000"/>
              </a:schemeClr>
            </a:solidFill>
          </a:endParaRPr>
        </a:p>
        <a:p>
          <a:r>
            <a:rPr lang="en-US" sz="1100" i="1">
              <a:solidFill>
                <a:schemeClr val="tx1">
                  <a:lumMod val="50000"/>
                  <a:lumOff val="50000"/>
                </a:schemeClr>
              </a:solidFill>
            </a:rPr>
            <a:t>Note: Ce</a:t>
          </a:r>
          <a:r>
            <a:rPr lang="en-US" sz="1100" i="1" baseline="0">
              <a:solidFill>
                <a:schemeClr val="tx1">
                  <a:lumMod val="50000"/>
                  <a:lumOff val="50000"/>
                </a:schemeClr>
              </a:solidFill>
            </a:rPr>
            <a:t> </a:t>
          </a:r>
          <a:r>
            <a:rPr lang="en-US" sz="1100" i="1" baseline="0">
              <a:solidFill>
                <a:schemeClr val="tx1">
                  <a:lumMod val="50000"/>
                  <a:lumOff val="50000"/>
                </a:schemeClr>
              </a:solidFill>
              <a:latin typeface="+mn-lt"/>
              <a:ea typeface="+mn-ea"/>
              <a:cs typeface="+mn-cs"/>
            </a:rPr>
            <a:t>calculateur </a:t>
          </a:r>
          <a:r>
            <a:rPr lang="fr-CA" sz="1100" i="1" baseline="0">
              <a:solidFill>
                <a:schemeClr val="tx1">
                  <a:lumMod val="50000"/>
                  <a:lumOff val="50000"/>
                </a:schemeClr>
              </a:solidFill>
              <a:latin typeface="+mn-lt"/>
              <a:ea typeface="+mn-ea"/>
              <a:cs typeface="+mn-cs"/>
            </a:rPr>
            <a:t>a été adapté de la version anglaise de WBDC, par Vincent Blondin, agr., en collaboration avec l’équipe du PATBQ</a:t>
          </a:r>
          <a:r>
            <a:rPr lang="en-US" sz="1100" i="1" baseline="0">
              <a:solidFill>
                <a:schemeClr val="tx1">
                  <a:lumMod val="50000"/>
                  <a:lumOff val="50000"/>
                </a:schemeClr>
              </a:solidFill>
            </a:rPr>
            <a:t>.</a:t>
          </a:r>
          <a:endParaRPr lang="en-US" sz="1100" i="1">
            <a:solidFill>
              <a:schemeClr val="tx1">
                <a:lumMod val="50000"/>
                <a:lumOff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1047750</xdr:rowOff>
    </xdr:from>
    <xdr:to>
      <xdr:col>5</xdr:col>
      <xdr:colOff>1921934</xdr:colOff>
      <xdr:row>1</xdr:row>
      <xdr:rowOff>339725</xdr:rowOff>
    </xdr:to>
    <xdr:sp macro="" textlink="">
      <xdr:nvSpPr>
        <xdr:cNvPr id="2" name="TextBox 2">
          <a:extLst>
            <a:ext uri="{FF2B5EF4-FFF2-40B4-BE49-F238E27FC236}">
              <a16:creationId xmlns:a16="http://schemas.microsoft.com/office/drawing/2014/main" id="{FD7C5343-AEB3-4D7F-9428-809A8BB9D2F4}"/>
            </a:ext>
          </a:extLst>
        </xdr:cNvPr>
        <xdr:cNvSpPr txBox="1"/>
      </xdr:nvSpPr>
      <xdr:spPr>
        <a:xfrm>
          <a:off x="0" y="1047750"/>
          <a:ext cx="8923867"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i="1">
              <a:solidFill>
                <a:schemeClr val="tx1">
                  <a:lumMod val="50000"/>
                  <a:lumOff val="50000"/>
                </a:schemeClr>
              </a:solidFill>
            </a:rPr>
            <a:t>Cette calculatrice de base vous aidera à calculer la valeur de vos génisses de remplacement. Elle</a:t>
          </a:r>
          <a:r>
            <a:rPr lang="en-US" sz="1200" i="1" baseline="0">
              <a:solidFill>
                <a:schemeClr val="tx1">
                  <a:lumMod val="50000"/>
                  <a:lumOff val="50000"/>
                </a:schemeClr>
              </a:solidFill>
            </a:rPr>
            <a:t> inclut le prix moyen à l'encan ainsi que la compensation de l'ASRA</a:t>
          </a:r>
          <a:r>
            <a:rPr lang="en-US" sz="1200" i="1">
              <a:solidFill>
                <a:schemeClr val="tx1">
                  <a:lumMod val="50000"/>
                  <a:lumOff val="50000"/>
                </a:schemeClr>
              </a:solidFill>
            </a:rPr>
            <a:t>. Pour l'utiliser, </a:t>
          </a:r>
          <a:r>
            <a:rPr lang="en-US" sz="1200" b="1" i="1">
              <a:solidFill>
                <a:schemeClr val="tx1"/>
              </a:solidFill>
            </a:rPr>
            <a:t>remplissez uniquement les</a:t>
          </a:r>
          <a:r>
            <a:rPr lang="en-US" sz="1200" b="1" i="1" baseline="0">
              <a:solidFill>
                <a:schemeClr val="tx1"/>
              </a:solidFill>
            </a:rPr>
            <a:t> cellules jaunes</a:t>
          </a:r>
          <a:r>
            <a:rPr lang="en-US" sz="1200" b="1" i="1">
              <a:solidFill>
                <a:schemeClr val="tx1"/>
              </a:solidFill>
            </a:rPr>
            <a:t> </a:t>
          </a:r>
          <a:r>
            <a:rPr lang="en-US" sz="1200" i="1">
              <a:solidFill>
                <a:schemeClr val="tx1">
                  <a:lumMod val="50000"/>
                  <a:lumOff val="50000"/>
                </a:schemeClr>
              </a:solidFill>
            </a:rPr>
            <a:t>avec vos données.</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pageSetUpPr fitToPage="1"/>
  </sheetPr>
  <dimension ref="A1:L47"/>
  <sheetViews>
    <sheetView showGridLines="0" tabSelected="1" zoomScale="130" zoomScaleNormal="130" zoomScaleSheetLayoutView="130" workbookViewId="0">
      <selection activeCell="I14" sqref="I14"/>
    </sheetView>
  </sheetViews>
  <sheetFormatPr baseColWidth="10" defaultColWidth="8.83203125" defaultRowHeight="32.25" customHeight="1" x14ac:dyDescent="0.2"/>
  <cols>
    <col min="1" max="1" width="53.1640625" style="4" bestFit="1" customWidth="1"/>
    <col min="2" max="2" width="12.33203125" style="4" customWidth="1"/>
    <col min="3" max="3" width="10" style="4" customWidth="1"/>
    <col min="4" max="4" width="27" style="4" customWidth="1"/>
    <col min="5" max="5" width="15.1640625" style="4" customWidth="1"/>
    <col min="6" max="6" width="9.1640625" style="4" customWidth="1"/>
    <col min="7" max="7" width="8.83203125" style="4" customWidth="1"/>
    <col min="8" max="8" width="23.1640625" style="4" bestFit="1" customWidth="1"/>
    <col min="9" max="9" width="21.1640625" style="4" customWidth="1"/>
    <col min="10" max="10" width="15.33203125" style="4" bestFit="1" customWidth="1"/>
    <col min="11" max="11" width="8" style="4" customWidth="1"/>
    <col min="12" max="12" width="10.5" style="4" customWidth="1"/>
    <col min="13" max="13" width="8.5" style="4" customWidth="1"/>
    <col min="14" max="14" width="13" style="4" bestFit="1" customWidth="1"/>
    <col min="15" max="16384" width="8.83203125" style="4"/>
  </cols>
  <sheetData>
    <row r="1" spans="1:10" ht="64" x14ac:dyDescent="0.2">
      <c r="A1" s="3" t="s">
        <v>0</v>
      </c>
    </row>
    <row r="2" spans="1:10" ht="42" x14ac:dyDescent="0.2">
      <c r="A2" s="37" t="str">
        <f>"D'après les détails fournis, vos taures de remplacement doivent se vendre $"&amp;ROUNDUP(B25,0)&amp;"/tête"</f>
        <v>D'après les détails fournis, vos taures de remplacement doivent se vendre $2989/tête</v>
      </c>
    </row>
    <row r="3" spans="1:10" ht="135.75" customHeight="1" x14ac:dyDescent="0.2">
      <c r="A3" s="5"/>
      <c r="J3" s="56"/>
    </row>
    <row r="4" spans="1:10" ht="22.5" customHeight="1" x14ac:dyDescent="0.2">
      <c r="A4" s="5"/>
    </row>
    <row r="5" spans="1:10" s="6" customFormat="1" ht="34" x14ac:dyDescent="0.2">
      <c r="A5" s="59" t="s">
        <v>1</v>
      </c>
      <c r="B5" s="59"/>
      <c r="D5" s="20" t="s">
        <v>2</v>
      </c>
      <c r="E5" s="21" t="s">
        <v>3</v>
      </c>
      <c r="F5" s="62" t="s">
        <v>4</v>
      </c>
      <c r="G5" s="62"/>
      <c r="H5" s="19" t="s">
        <v>5</v>
      </c>
      <c r="I5" s="22" t="s">
        <v>6</v>
      </c>
    </row>
    <row r="6" spans="1:10" s="6" customFormat="1" ht="17" x14ac:dyDescent="0.2">
      <c r="A6" s="52" t="s">
        <v>7</v>
      </c>
      <c r="B6" s="9">
        <v>50</v>
      </c>
      <c r="D6" s="13">
        <v>1.7</v>
      </c>
      <c r="E6" s="54">
        <f>(2.1563-0.7485)/2.2</f>
        <v>0.63990909090909087</v>
      </c>
      <c r="F6" s="63">
        <v>165</v>
      </c>
      <c r="G6" s="63"/>
      <c r="H6" s="55">
        <f>365-F6</f>
        <v>200</v>
      </c>
      <c r="I6" s="13">
        <v>2.2999999999999998</v>
      </c>
    </row>
    <row r="7" spans="1:10" s="6" customFormat="1" ht="17" x14ac:dyDescent="0.2">
      <c r="A7" s="52" t="s">
        <v>8</v>
      </c>
      <c r="B7" s="9">
        <v>750</v>
      </c>
    </row>
    <row r="8" spans="1:10" s="6" customFormat="1" ht="17" x14ac:dyDescent="0.2">
      <c r="A8" s="52" t="s">
        <v>9</v>
      </c>
      <c r="B8" s="15">
        <v>44531</v>
      </c>
      <c r="C8" s="7"/>
      <c r="D8" s="60" t="s">
        <v>10</v>
      </c>
      <c r="E8" s="61"/>
      <c r="F8" s="61"/>
      <c r="G8" s="61"/>
      <c r="H8" s="61"/>
    </row>
    <row r="9" spans="1:10" s="6" customFormat="1" ht="17" x14ac:dyDescent="0.2">
      <c r="A9" s="52" t="s">
        <v>11</v>
      </c>
      <c r="B9" s="15">
        <v>44713</v>
      </c>
      <c r="C9" s="7"/>
      <c r="D9" s="50"/>
      <c r="E9" s="51" t="s">
        <v>12</v>
      </c>
      <c r="F9" s="50" t="s">
        <v>13</v>
      </c>
      <c r="G9" s="50" t="s">
        <v>14</v>
      </c>
      <c r="H9" s="50" t="s">
        <v>15</v>
      </c>
    </row>
    <row r="10" spans="1:10" s="6" customFormat="1" ht="17" x14ac:dyDescent="0.2">
      <c r="A10" s="52" t="s">
        <v>16</v>
      </c>
      <c r="B10" s="44">
        <f>((B9-B8)*I6)+B7</f>
        <v>1168.5999999999999</v>
      </c>
      <c r="D10" s="50" t="s">
        <v>17</v>
      </c>
      <c r="E10" s="2">
        <v>180</v>
      </c>
      <c r="F10" s="47">
        <f>E10/1000</f>
        <v>0.18</v>
      </c>
      <c r="G10" s="48">
        <f>((B10+B7)/2/2.204*3%)-G11-G13-G14</f>
        <v>11.327812504537203</v>
      </c>
      <c r="H10" s="49">
        <f>G10*(H6)*F10</f>
        <v>407.80125016333932</v>
      </c>
    </row>
    <row r="11" spans="1:10" s="6" customFormat="1" ht="17" x14ac:dyDescent="0.2">
      <c r="A11" s="52" t="s">
        <v>18</v>
      </c>
      <c r="B11" s="17">
        <v>0.01</v>
      </c>
      <c r="D11" s="50" t="s">
        <v>19</v>
      </c>
      <c r="E11" s="2">
        <v>300</v>
      </c>
      <c r="F11" s="47">
        <f>E11/1000</f>
        <v>0.3</v>
      </c>
      <c r="G11" s="9">
        <v>1.5</v>
      </c>
      <c r="H11" s="49">
        <f>(H6)*G11*F11</f>
        <v>90</v>
      </c>
    </row>
    <row r="12" spans="1:10" s="6" customFormat="1" ht="17" x14ac:dyDescent="0.2">
      <c r="A12" s="52" t="s">
        <v>20</v>
      </c>
      <c r="B12" s="38">
        <f>H10+H11+H12+H13+H14+H15</f>
        <v>961.30045495273055</v>
      </c>
      <c r="D12" s="50" t="s">
        <v>21</v>
      </c>
      <c r="E12" s="2">
        <v>130</v>
      </c>
      <c r="F12" s="47">
        <f>E12/1000</f>
        <v>0.13</v>
      </c>
      <c r="G12" s="48">
        <f>((B22+B10)/2/2.204*3%)-G13-G14</f>
        <v>18.259527568058072</v>
      </c>
      <c r="H12" s="49">
        <f>G12*(F6)*F12</f>
        <v>391.66686633484568</v>
      </c>
    </row>
    <row r="13" spans="1:10" s="6" customFormat="1" ht="17" x14ac:dyDescent="0.2">
      <c r="A13" s="52" t="s">
        <v>22</v>
      </c>
      <c r="B13" s="38">
        <f>H16</f>
        <v>30</v>
      </c>
      <c r="D13" s="50" t="s">
        <v>23</v>
      </c>
      <c r="E13" s="46"/>
      <c r="F13" s="1">
        <f>28/22</f>
        <v>1.2727272727272727</v>
      </c>
      <c r="G13" s="46">
        <f>0.01*(B7+B22)/2/100</f>
        <v>0.11490499999999999</v>
      </c>
      <c r="H13" s="49">
        <f>365*G13*F13</f>
        <v>53.378595454545447</v>
      </c>
    </row>
    <row r="14" spans="1:10" s="6" customFormat="1" ht="17" x14ac:dyDescent="0.2">
      <c r="A14" s="52" t="s">
        <v>24</v>
      </c>
      <c r="B14" s="39">
        <v>15</v>
      </c>
      <c r="D14" s="50" t="s">
        <v>25</v>
      </c>
      <c r="E14" s="46"/>
      <c r="F14" s="1">
        <f>11/25</f>
        <v>0.44</v>
      </c>
      <c r="G14" s="46">
        <f>0.01*(B7+B22)/2/100</f>
        <v>0.11490499999999999</v>
      </c>
      <c r="H14" s="49">
        <f>365*G14*F14</f>
        <v>18.453742999999999</v>
      </c>
    </row>
    <row r="15" spans="1:10" s="6" customFormat="1" ht="17" x14ac:dyDescent="0.2">
      <c r="A15" s="52" t="s">
        <v>26</v>
      </c>
      <c r="B15" s="40">
        <v>0</v>
      </c>
      <c r="D15" s="50" t="s">
        <v>27</v>
      </c>
      <c r="E15" s="2"/>
      <c r="F15" s="47">
        <f>E15/1000</f>
        <v>0</v>
      </c>
      <c r="G15" s="2"/>
      <c r="H15" s="49">
        <v>0</v>
      </c>
    </row>
    <row r="16" spans="1:10" s="6" customFormat="1" ht="17" x14ac:dyDescent="0.2">
      <c r="A16" s="52" t="s">
        <v>28</v>
      </c>
      <c r="B16" s="38">
        <f>(E28-(E31*E32))/E30/E29+((E33+E34)/E29)</f>
        <v>119.51362492163007</v>
      </c>
      <c r="D16" s="50" t="s">
        <v>29</v>
      </c>
      <c r="E16" s="2">
        <v>150</v>
      </c>
      <c r="F16" s="47">
        <f>E16/1000</f>
        <v>0.15</v>
      </c>
      <c r="G16" s="2">
        <v>1</v>
      </c>
      <c r="H16" s="49">
        <f>F16*G16*(H6)</f>
        <v>30</v>
      </c>
    </row>
    <row r="17" spans="1:9" s="6" customFormat="1" ht="17" x14ac:dyDescent="0.2">
      <c r="A17" s="53" t="s">
        <v>30</v>
      </c>
      <c r="B17" s="41">
        <f>(B12+B13+B14+(B15)+B16)*B6/(B6-B6*B11)</f>
        <v>1137.185939267031</v>
      </c>
      <c r="D17" s="60" t="s">
        <v>31</v>
      </c>
      <c r="E17" s="61"/>
      <c r="F17" s="61"/>
      <c r="G17" s="61"/>
      <c r="H17" s="61"/>
    </row>
    <row r="18" spans="1:9" s="6" customFormat="1" ht="17" x14ac:dyDescent="0.2">
      <c r="A18" s="53" t="s">
        <v>32</v>
      </c>
      <c r="B18" s="41">
        <f>(B7*(D6+E6))*B6/(B6-B6*B11)+B17</f>
        <v>2909.8443414708881</v>
      </c>
      <c r="D18" s="50"/>
      <c r="E18" s="51" t="s">
        <v>12</v>
      </c>
      <c r="F18" s="50" t="s">
        <v>13</v>
      </c>
      <c r="G18" s="50" t="s">
        <v>14</v>
      </c>
      <c r="H18" s="50" t="s">
        <v>15</v>
      </c>
    </row>
    <row r="19" spans="1:9" s="6" customFormat="1" ht="17" x14ac:dyDescent="0.2">
      <c r="A19" s="52" t="s">
        <v>33</v>
      </c>
      <c r="B19" s="42">
        <f>(100%-B20)*B6</f>
        <v>7.0000000000000009</v>
      </c>
      <c r="D19" s="50" t="s">
        <v>17</v>
      </c>
      <c r="E19" s="2">
        <v>180</v>
      </c>
      <c r="F19" s="47">
        <f>E19/1000</f>
        <v>0.18</v>
      </c>
      <c r="G19" s="48">
        <f>(E31/2.204*3%)-G20-G22-G23</f>
        <v>24.482068965517236</v>
      </c>
      <c r="H19" s="49">
        <f>G19*(H6)*F19</f>
        <v>881.35448275862052</v>
      </c>
    </row>
    <row r="20" spans="1:9" s="6" customFormat="1" ht="17" x14ac:dyDescent="0.2">
      <c r="A20" s="52" t="s">
        <v>34</v>
      </c>
      <c r="B20" s="10">
        <v>0.86</v>
      </c>
      <c r="D20" s="50" t="s">
        <v>19</v>
      </c>
      <c r="E20" s="2">
        <v>300</v>
      </c>
      <c r="F20" s="47">
        <f>E20/1000</f>
        <v>0.3</v>
      </c>
      <c r="G20" s="9">
        <v>1</v>
      </c>
      <c r="H20" s="49">
        <f>(H6)*G20*F20</f>
        <v>60</v>
      </c>
    </row>
    <row r="21" spans="1:9" s="6" customFormat="1" ht="17" x14ac:dyDescent="0.2">
      <c r="A21" s="52" t="s">
        <v>35</v>
      </c>
      <c r="B21" s="43">
        <v>1.55</v>
      </c>
      <c r="D21" s="50" t="s">
        <v>21</v>
      </c>
      <c r="E21" s="2">
        <v>130</v>
      </c>
      <c r="F21" s="47">
        <f>E21/1000</f>
        <v>0.13</v>
      </c>
      <c r="G21" s="48">
        <f>(E31/2.204*3%)-G20-G22-G23</f>
        <v>24.482068965517236</v>
      </c>
      <c r="H21" s="49">
        <f>G21*(F6)*F21</f>
        <v>525.14037931034477</v>
      </c>
    </row>
    <row r="22" spans="1:9" s="6" customFormat="1" ht="17" x14ac:dyDescent="0.2">
      <c r="A22" s="52" t="s">
        <v>36</v>
      </c>
      <c r="B22" s="44">
        <f>B10+(F6*I6)</f>
        <v>1548.1</v>
      </c>
      <c r="D22" s="50" t="s">
        <v>23</v>
      </c>
      <c r="E22" s="46"/>
      <c r="F22" s="1">
        <f>28/22</f>
        <v>1.2727272727272727</v>
      </c>
      <c r="G22" s="46">
        <f>0.01*E31/100</f>
        <v>0.19</v>
      </c>
      <c r="H22" s="49">
        <f>365*G22*F22</f>
        <v>88.263636363636351</v>
      </c>
    </row>
    <row r="23" spans="1:9" s="6" customFormat="1" ht="17" x14ac:dyDescent="0.2">
      <c r="A23" s="53" t="s">
        <v>30</v>
      </c>
      <c r="B23" s="45">
        <f>B25-B24</f>
        <v>1216.3105877611179</v>
      </c>
      <c r="D23" s="50" t="s">
        <v>25</v>
      </c>
      <c r="E23" s="46"/>
      <c r="F23" s="1">
        <f>11/25</f>
        <v>0.44</v>
      </c>
      <c r="G23" s="46">
        <f>0.01*E31/100</f>
        <v>0.19</v>
      </c>
      <c r="H23" s="49">
        <f>365*G23*F23</f>
        <v>30.513999999999999</v>
      </c>
    </row>
    <row r="24" spans="1:9" s="6" customFormat="1" ht="18" customHeight="1" x14ac:dyDescent="0.2">
      <c r="A24" s="53" t="s">
        <v>37</v>
      </c>
      <c r="B24" s="45">
        <f>B7*(D6+E6)*B6/(B6-(B6*B11))</f>
        <v>1772.6584022038569</v>
      </c>
      <c r="C24" s="16"/>
      <c r="D24" s="50" t="s">
        <v>27</v>
      </c>
      <c r="E24" s="2"/>
      <c r="F24" s="47">
        <f>E24/1000</f>
        <v>0</v>
      </c>
      <c r="G24" s="2"/>
      <c r="H24" s="49">
        <v>0</v>
      </c>
    </row>
    <row r="25" spans="1:9" s="6" customFormat="1" ht="17" x14ac:dyDescent="0.2">
      <c r="A25" s="53" t="s">
        <v>38</v>
      </c>
      <c r="B25" s="45">
        <f>B18/B20-((B19*B21*B22)/(B20*(B6-B6*B11)))</f>
        <v>2988.9689899649748</v>
      </c>
      <c r="D25" s="50" t="s">
        <v>29</v>
      </c>
      <c r="E25" s="2">
        <v>150</v>
      </c>
      <c r="F25" s="47">
        <f>E25/1000</f>
        <v>0.15</v>
      </c>
      <c r="G25" s="2">
        <v>1</v>
      </c>
      <c r="H25" s="49">
        <f>F25*G25*(H6)</f>
        <v>30</v>
      </c>
    </row>
    <row r="26" spans="1:9" s="6" customFormat="1" ht="16" x14ac:dyDescent="0.2"/>
    <row r="27" spans="1:9" s="6" customFormat="1" ht="21" x14ac:dyDescent="0.2">
      <c r="A27" s="23" t="s">
        <v>39</v>
      </c>
      <c r="B27" s="14">
        <f>B25</f>
        <v>2988.9689899649748</v>
      </c>
      <c r="D27" s="58" t="s">
        <v>40</v>
      </c>
      <c r="E27" s="58"/>
    </row>
    <row r="28" spans="1:9" s="6" customFormat="1" ht="17" x14ac:dyDescent="0.2">
      <c r="D28" s="52" t="s">
        <v>41</v>
      </c>
      <c r="E28" s="18">
        <v>4500</v>
      </c>
    </row>
    <row r="29" spans="1:9" s="6" customFormat="1" ht="17" x14ac:dyDescent="0.2">
      <c r="D29" s="52" t="s">
        <v>42</v>
      </c>
      <c r="E29" s="9">
        <v>20</v>
      </c>
    </row>
    <row r="30" spans="1:9" s="6" customFormat="1" ht="17" x14ac:dyDescent="0.2">
      <c r="B30" s="4"/>
      <c r="D30" s="52" t="s">
        <v>43</v>
      </c>
      <c r="E30" s="9">
        <v>4</v>
      </c>
      <c r="I30" s="4"/>
    </row>
    <row r="31" spans="1:9" s="6" customFormat="1" ht="17" x14ac:dyDescent="0.2">
      <c r="B31" s="4"/>
      <c r="D31" s="52" t="s">
        <v>44</v>
      </c>
      <c r="E31" s="44">
        <v>1900</v>
      </c>
      <c r="F31" s="4"/>
      <c r="G31" s="4"/>
      <c r="H31" s="4"/>
      <c r="I31" s="4"/>
    </row>
    <row r="32" spans="1:9" s="6" customFormat="1" ht="17" x14ac:dyDescent="0.2">
      <c r="A32" s="12"/>
      <c r="B32" s="4"/>
      <c r="D32" s="52" t="s">
        <v>45</v>
      </c>
      <c r="E32" s="57">
        <v>1</v>
      </c>
      <c r="F32" s="4"/>
      <c r="G32" s="4"/>
      <c r="H32" s="4"/>
      <c r="I32" s="4"/>
    </row>
    <row r="33" spans="1:12" s="6" customFormat="1" ht="17" x14ac:dyDescent="0.2">
      <c r="A33" s="4"/>
      <c r="B33" s="4"/>
      <c r="D33" s="52" t="s">
        <v>46</v>
      </c>
      <c r="E33" s="39">
        <f>H19+H20+H21+H22+H23+H24+H25</f>
        <v>1615.2724984326014</v>
      </c>
      <c r="F33" s="4"/>
      <c r="G33" s="4"/>
      <c r="H33" s="4"/>
      <c r="I33" s="4"/>
    </row>
    <row r="34" spans="1:12" s="6" customFormat="1" ht="34" x14ac:dyDescent="0.2">
      <c r="A34" s="4"/>
      <c r="B34" s="4"/>
      <c r="D34" s="52" t="s">
        <v>47</v>
      </c>
      <c r="E34" s="39">
        <v>125</v>
      </c>
      <c r="F34" s="4"/>
      <c r="G34" s="4"/>
      <c r="H34" s="4"/>
      <c r="I34" s="4"/>
    </row>
    <row r="35" spans="1:12" s="6" customFormat="1" ht="16" x14ac:dyDescent="0.2">
      <c r="A35" s="4"/>
      <c r="B35" s="4"/>
      <c r="D35" s="4"/>
      <c r="E35" s="11"/>
      <c r="F35" s="4"/>
      <c r="G35" s="4"/>
      <c r="H35" s="4"/>
      <c r="I35" s="4"/>
    </row>
    <row r="36" spans="1:12" s="6" customFormat="1" ht="16" x14ac:dyDescent="0.2">
      <c r="A36" s="4"/>
      <c r="B36" s="4"/>
      <c r="E36" s="4"/>
      <c r="F36" s="4"/>
      <c r="G36" s="4"/>
      <c r="H36" s="4"/>
      <c r="I36" s="4"/>
    </row>
    <row r="37" spans="1:12" s="6" customFormat="1" ht="16" x14ac:dyDescent="0.2">
      <c r="A37" s="4"/>
      <c r="B37" s="4"/>
      <c r="D37" s="4"/>
      <c r="E37" s="4"/>
      <c r="F37" s="4"/>
      <c r="G37" s="4"/>
      <c r="H37" s="4"/>
      <c r="I37" s="4"/>
    </row>
    <row r="38" spans="1:12" s="6" customFormat="1" ht="16" x14ac:dyDescent="0.2">
      <c r="A38" s="4"/>
      <c r="B38" s="4"/>
      <c r="C38" s="4"/>
      <c r="F38" s="4"/>
      <c r="G38" s="4"/>
      <c r="H38" s="4"/>
      <c r="I38" s="4"/>
    </row>
    <row r="39" spans="1:12" s="6" customFormat="1" ht="32.25" customHeight="1" x14ac:dyDescent="0.2">
      <c r="A39" s="4"/>
      <c r="B39" s="4"/>
      <c r="C39" s="4"/>
      <c r="F39" s="4"/>
      <c r="G39" s="4"/>
      <c r="H39" s="4"/>
      <c r="I39" s="4"/>
    </row>
    <row r="40" spans="1:12" s="6" customFormat="1" ht="32.25" customHeight="1" x14ac:dyDescent="0.2">
      <c r="A40" s="4"/>
      <c r="B40" s="4"/>
      <c r="C40" s="4"/>
      <c r="F40" s="4"/>
      <c r="G40" s="4"/>
      <c r="H40" s="4"/>
      <c r="I40" s="4"/>
    </row>
    <row r="41" spans="1:12" s="6" customFormat="1" ht="32.25" customHeight="1" x14ac:dyDescent="0.2">
      <c r="A41" s="4"/>
      <c r="B41" s="4"/>
      <c r="C41" s="4"/>
      <c r="F41" s="4"/>
      <c r="G41" s="4"/>
      <c r="H41" s="4"/>
      <c r="I41" s="4"/>
    </row>
    <row r="42" spans="1:12" s="6" customFormat="1" ht="32.25" customHeight="1" x14ac:dyDescent="0.2">
      <c r="A42" s="4"/>
      <c r="B42" s="4"/>
      <c r="C42" s="4"/>
      <c r="F42" s="4"/>
      <c r="G42" s="4"/>
      <c r="H42" s="4"/>
      <c r="I42" s="4"/>
    </row>
    <row r="43" spans="1:12" s="6" customFormat="1" ht="32.25" customHeight="1" x14ac:dyDescent="0.2">
      <c r="A43" s="4"/>
      <c r="B43" s="4"/>
      <c r="C43" s="4"/>
      <c r="F43" s="4"/>
      <c r="G43" s="4"/>
      <c r="H43" s="4"/>
      <c r="I43" s="4"/>
    </row>
    <row r="44" spans="1:12" s="6" customFormat="1" ht="32.25" customHeight="1" x14ac:dyDescent="0.2">
      <c r="A44" s="4"/>
      <c r="B44" s="4"/>
      <c r="C44" s="4"/>
      <c r="F44" s="4"/>
      <c r="G44" s="4"/>
      <c r="H44" s="4"/>
      <c r="I44" s="4"/>
    </row>
    <row r="45" spans="1:12" s="6" customFormat="1" ht="32.25" customHeight="1" x14ac:dyDescent="0.2">
      <c r="A45" s="4"/>
      <c r="B45" s="4"/>
      <c r="C45" s="4"/>
      <c r="F45" s="4"/>
      <c r="G45" s="4"/>
      <c r="H45" s="4"/>
      <c r="I45" s="4"/>
    </row>
    <row r="46" spans="1:12" s="6" customFormat="1" ht="32.25" customHeight="1" x14ac:dyDescent="0.2">
      <c r="A46" s="4"/>
      <c r="B46" s="4"/>
      <c r="C46" s="4"/>
      <c r="D46" s="4"/>
      <c r="E46" s="4"/>
      <c r="F46" s="4"/>
      <c r="G46" s="4"/>
      <c r="H46" s="4"/>
      <c r="I46" s="4"/>
      <c r="J46" s="4"/>
      <c r="K46" s="4"/>
      <c r="L46" s="4"/>
    </row>
    <row r="47" spans="1:12" s="6" customFormat="1" ht="32.25" customHeight="1" x14ac:dyDescent="0.2">
      <c r="A47" s="4"/>
      <c r="B47" s="4"/>
      <c r="C47" s="4"/>
      <c r="D47" s="4"/>
      <c r="E47" s="4"/>
      <c r="F47" s="4"/>
      <c r="G47" s="4"/>
      <c r="H47" s="4"/>
      <c r="I47" s="4"/>
      <c r="J47" s="4"/>
      <c r="K47" s="4"/>
      <c r="L47" s="4"/>
    </row>
  </sheetData>
  <mergeCells count="6">
    <mergeCell ref="D27:E27"/>
    <mergeCell ref="A5:B5"/>
    <mergeCell ref="D8:H8"/>
    <mergeCell ref="D17:H17"/>
    <mergeCell ref="F5:G5"/>
    <mergeCell ref="F6:G6"/>
  </mergeCells>
  <phoneticPr fontId="8" type="noConversion"/>
  <pageMargins left="0.7" right="0.7" top="0.75" bottom="0.75" header="0.3" footer="0.3"/>
  <pageSetup scale="34" orientation="portrait" r:id="rId1"/>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FD364-931A-4256-8754-E5CF117072B0}">
  <sheetPr published="0">
    <pageSetUpPr fitToPage="1"/>
  </sheetPr>
  <dimension ref="A1:G36"/>
  <sheetViews>
    <sheetView showGridLines="0" zoomScale="150" zoomScaleNormal="150" workbookViewId="0">
      <selection sqref="A1:B1"/>
    </sheetView>
  </sheetViews>
  <sheetFormatPr baseColWidth="10" defaultColWidth="8.83203125" defaultRowHeight="15" x14ac:dyDescent="0.2"/>
  <cols>
    <col min="1" max="1" width="35.5" style="30" customWidth="1"/>
    <col min="2" max="2" width="16.83203125" style="31" customWidth="1"/>
    <col min="3" max="3" width="14.83203125" style="30" bestFit="1" customWidth="1"/>
    <col min="4" max="4" width="4" style="30" customWidth="1"/>
    <col min="5" max="5" width="20.5" style="30" customWidth="1"/>
    <col min="6" max="6" width="25.6640625" style="30" bestFit="1" customWidth="1"/>
    <col min="7" max="7" width="12.1640625" style="30" customWidth="1"/>
    <col min="8" max="16384" width="8.83203125" style="30"/>
  </cols>
  <sheetData>
    <row r="1" spans="1:7" ht="94.5" customHeight="1" x14ac:dyDescent="0.2">
      <c r="A1" s="66" t="s">
        <v>48</v>
      </c>
      <c r="B1" s="66"/>
    </row>
    <row r="2" spans="1:7" ht="27.75" customHeight="1" x14ac:dyDescent="0.2">
      <c r="A2" s="3"/>
      <c r="B2" s="3"/>
    </row>
    <row r="3" spans="1:7" ht="13.5" customHeight="1" x14ac:dyDescent="0.2">
      <c r="A3" s="33"/>
      <c r="B3" s="33"/>
    </row>
    <row r="4" spans="1:7" s="25" customFormat="1" ht="17" x14ac:dyDescent="0.2">
      <c r="A4" s="64" t="s">
        <v>49</v>
      </c>
      <c r="B4" s="64"/>
      <c r="E4" s="26" t="s">
        <v>2</v>
      </c>
      <c r="F4" s="27" t="s">
        <v>3</v>
      </c>
    </row>
    <row r="5" spans="1:7" s="25" customFormat="1" ht="20.25" customHeight="1" x14ac:dyDescent="0.2">
      <c r="A5" s="28" t="s">
        <v>8</v>
      </c>
      <c r="B5" s="9">
        <v>750</v>
      </c>
      <c r="C5" s="24"/>
      <c r="E5" s="34">
        <v>1.8</v>
      </c>
      <c r="F5" s="35">
        <f>'Coût taure de remplacement'!E6</f>
        <v>0.63990909090909087</v>
      </c>
    </row>
    <row r="6" spans="1:7" s="25" customFormat="1" ht="20.25" customHeight="1" x14ac:dyDescent="0.2">
      <c r="A6" s="28" t="s">
        <v>50</v>
      </c>
      <c r="B6" s="8">
        <f>E5+F5</f>
        <v>2.439909090909091</v>
      </c>
      <c r="C6" s="24"/>
    </row>
    <row r="7" spans="1:7" s="25" customFormat="1" ht="20.25" customHeight="1" x14ac:dyDescent="0.2">
      <c r="A7" s="28" t="s">
        <v>51</v>
      </c>
      <c r="B7" s="32">
        <f>B5*B6</f>
        <v>1829.9318181818182</v>
      </c>
      <c r="C7" s="24"/>
    </row>
    <row r="8" spans="1:7" s="25" customFormat="1" ht="20.25" customHeight="1" x14ac:dyDescent="0.2">
      <c r="A8" s="28" t="s">
        <v>52</v>
      </c>
      <c r="B8" s="32">
        <f>B7-((2.15-0.91)/2.2)*B5</f>
        <v>1407.2045454545455</v>
      </c>
      <c r="C8" s="24"/>
    </row>
    <row r="9" spans="1:7" s="25" customFormat="1" ht="20.25" customHeight="1" x14ac:dyDescent="0.2">
      <c r="C9" s="29"/>
    </row>
    <row r="10" spans="1:7" s="25" customFormat="1" ht="48.75" customHeight="1" x14ac:dyDescent="0.2">
      <c r="A10" s="65" t="s">
        <v>53</v>
      </c>
      <c r="B10" s="65"/>
      <c r="C10" s="36">
        <f>B8</f>
        <v>1407.2045454545455</v>
      </c>
    </row>
    <row r="11" spans="1:7" s="25" customFormat="1" ht="48" customHeight="1" x14ac:dyDescent="0.2">
      <c r="A11" s="30"/>
      <c r="B11" s="31"/>
      <c r="C11" s="30"/>
      <c r="D11" s="30"/>
      <c r="E11" s="30"/>
      <c r="F11" s="30"/>
      <c r="G11" s="30"/>
    </row>
    <row r="12" spans="1:7" s="25" customFormat="1" ht="20.25" customHeight="1" x14ac:dyDescent="0.2">
      <c r="A12" s="30"/>
      <c r="B12" s="31"/>
      <c r="C12" s="30"/>
      <c r="D12" s="30"/>
      <c r="E12" s="30"/>
      <c r="F12" s="30"/>
      <c r="G12" s="30"/>
    </row>
    <row r="13" spans="1:7" s="25" customFormat="1" ht="20.25" customHeight="1" x14ac:dyDescent="0.2">
      <c r="A13" s="30"/>
      <c r="B13" s="31"/>
      <c r="C13" s="30"/>
      <c r="D13" s="30"/>
      <c r="E13" s="30"/>
      <c r="F13" s="30"/>
      <c r="G13" s="30"/>
    </row>
    <row r="14" spans="1:7" s="25" customFormat="1" ht="20.25" customHeight="1" x14ac:dyDescent="0.2">
      <c r="A14" s="30"/>
      <c r="B14" s="31"/>
      <c r="C14" s="30"/>
      <c r="D14" s="30"/>
      <c r="E14" s="30"/>
      <c r="F14" s="30"/>
      <c r="G14" s="30"/>
    </row>
    <row r="15" spans="1:7" s="25" customFormat="1" ht="20.25" customHeight="1" x14ac:dyDescent="0.2">
      <c r="A15" s="30"/>
      <c r="B15" s="31"/>
      <c r="C15" s="30"/>
      <c r="D15" s="30"/>
      <c r="E15" s="30"/>
      <c r="F15" s="30"/>
      <c r="G15" s="30"/>
    </row>
    <row r="16" spans="1:7" s="25" customFormat="1" ht="20.25" customHeight="1" x14ac:dyDescent="0.2">
      <c r="A16" s="30"/>
      <c r="B16" s="31"/>
      <c r="C16" s="30"/>
      <c r="D16" s="30"/>
      <c r="E16" s="30"/>
      <c r="F16" s="30"/>
      <c r="G16" s="30"/>
    </row>
    <row r="17" spans="1:7" s="25" customFormat="1" ht="20.25" customHeight="1" x14ac:dyDescent="0.2">
      <c r="A17" s="30"/>
      <c r="B17" s="31"/>
      <c r="C17" s="30"/>
      <c r="D17" s="30"/>
      <c r="E17" s="30"/>
      <c r="F17" s="30"/>
      <c r="G17" s="30"/>
    </row>
    <row r="18" spans="1:7" s="25" customFormat="1" ht="20.25" customHeight="1" x14ac:dyDescent="0.2">
      <c r="A18" s="30"/>
      <c r="B18" s="31"/>
      <c r="C18" s="30"/>
      <c r="D18" s="30"/>
      <c r="E18" s="30"/>
      <c r="F18" s="30"/>
      <c r="G18" s="30"/>
    </row>
    <row r="19" spans="1:7" s="25" customFormat="1" ht="20.25" customHeight="1" x14ac:dyDescent="0.2">
      <c r="A19" s="30"/>
      <c r="B19" s="31"/>
      <c r="C19" s="30"/>
      <c r="D19" s="30"/>
      <c r="E19" s="30"/>
      <c r="F19" s="30"/>
      <c r="G19" s="30"/>
    </row>
    <row r="20" spans="1:7" s="25" customFormat="1" ht="20.25" customHeight="1" x14ac:dyDescent="0.2">
      <c r="A20" s="30"/>
      <c r="B20" s="31"/>
      <c r="C20" s="30"/>
      <c r="D20" s="30"/>
      <c r="E20" s="30"/>
      <c r="F20" s="30"/>
      <c r="G20" s="30"/>
    </row>
    <row r="21" spans="1:7" s="25" customFormat="1" ht="20.25" customHeight="1" x14ac:dyDescent="0.2">
      <c r="A21" s="30"/>
      <c r="B21" s="31"/>
      <c r="C21" s="30"/>
      <c r="D21" s="30"/>
      <c r="E21" s="30"/>
      <c r="F21" s="30"/>
      <c r="G21" s="30"/>
    </row>
    <row r="22" spans="1:7" s="25" customFormat="1" ht="20.25" customHeight="1" x14ac:dyDescent="0.2">
      <c r="A22" s="30"/>
      <c r="B22" s="31"/>
      <c r="C22" s="30"/>
      <c r="D22" s="30"/>
      <c r="E22" s="30"/>
      <c r="F22" s="30"/>
      <c r="G22" s="30"/>
    </row>
    <row r="23" spans="1:7" s="25" customFormat="1" ht="20.25" customHeight="1" x14ac:dyDescent="0.2">
      <c r="A23" s="30"/>
      <c r="B23" s="31"/>
      <c r="C23" s="30"/>
      <c r="D23" s="30"/>
      <c r="E23" s="30"/>
      <c r="F23" s="30"/>
      <c r="G23" s="30"/>
    </row>
    <row r="24" spans="1:7" s="25" customFormat="1" ht="20.25" customHeight="1" x14ac:dyDescent="0.2">
      <c r="A24" s="30"/>
      <c r="B24" s="31"/>
      <c r="C24" s="30"/>
      <c r="D24" s="30"/>
      <c r="E24" s="30"/>
      <c r="F24" s="30"/>
      <c r="G24" s="30"/>
    </row>
    <row r="25" spans="1:7" s="25" customFormat="1" ht="20.25" customHeight="1" x14ac:dyDescent="0.2">
      <c r="A25" s="30"/>
      <c r="B25" s="31"/>
      <c r="C25" s="30"/>
      <c r="D25" s="30"/>
      <c r="E25" s="30"/>
      <c r="F25" s="30"/>
      <c r="G25" s="30"/>
    </row>
    <row r="26" spans="1:7" s="25" customFormat="1" ht="20.25" customHeight="1" x14ac:dyDescent="0.2">
      <c r="A26" s="30"/>
      <c r="B26" s="31"/>
      <c r="C26" s="30"/>
      <c r="D26" s="30"/>
      <c r="E26" s="30"/>
      <c r="F26" s="30"/>
      <c r="G26" s="30"/>
    </row>
    <row r="27" spans="1:7" s="25" customFormat="1" ht="20.25" customHeight="1" x14ac:dyDescent="0.2">
      <c r="A27" s="30"/>
      <c r="B27" s="31"/>
      <c r="C27" s="30"/>
      <c r="D27" s="30"/>
      <c r="E27" s="30"/>
      <c r="F27" s="30"/>
      <c r="G27" s="30"/>
    </row>
    <row r="28" spans="1:7" s="25" customFormat="1" ht="20.25" customHeight="1" x14ac:dyDescent="0.2">
      <c r="A28" s="30"/>
      <c r="B28" s="31"/>
      <c r="C28" s="30"/>
      <c r="D28" s="30"/>
      <c r="E28" s="30"/>
      <c r="F28" s="30"/>
      <c r="G28" s="30"/>
    </row>
    <row r="29" spans="1:7" s="25" customFormat="1" ht="20.25" customHeight="1" x14ac:dyDescent="0.2">
      <c r="A29" s="30"/>
      <c r="B29" s="31"/>
      <c r="C29" s="30"/>
      <c r="D29" s="30"/>
      <c r="E29" s="30"/>
      <c r="F29" s="30"/>
      <c r="G29" s="30"/>
    </row>
    <row r="30" spans="1:7" s="25" customFormat="1" ht="20.25" customHeight="1" x14ac:dyDescent="0.2">
      <c r="A30" s="30"/>
      <c r="B30" s="31"/>
      <c r="C30" s="30"/>
      <c r="D30" s="30"/>
      <c r="E30" s="30"/>
      <c r="F30" s="30"/>
      <c r="G30" s="30"/>
    </row>
    <row r="31" spans="1:7" s="25" customFormat="1" ht="20.25" customHeight="1" x14ac:dyDescent="0.2">
      <c r="A31" s="30"/>
      <c r="B31" s="31"/>
      <c r="C31" s="30"/>
      <c r="D31" s="30"/>
      <c r="E31" s="30"/>
      <c r="F31" s="30"/>
      <c r="G31" s="30"/>
    </row>
    <row r="32" spans="1:7" s="25" customFormat="1" ht="20.25" customHeight="1" x14ac:dyDescent="0.2">
      <c r="A32" s="30"/>
      <c r="B32" s="31"/>
      <c r="C32" s="30"/>
      <c r="D32" s="30"/>
      <c r="E32" s="30"/>
      <c r="F32" s="30"/>
      <c r="G32" s="30"/>
    </row>
    <row r="33" spans="1:7" s="25" customFormat="1" ht="20.25" customHeight="1" x14ac:dyDescent="0.2">
      <c r="A33" s="30"/>
      <c r="B33" s="31"/>
      <c r="C33" s="30"/>
      <c r="D33" s="30"/>
      <c r="E33" s="30"/>
      <c r="F33" s="30"/>
      <c r="G33" s="30"/>
    </row>
    <row r="34" spans="1:7" s="25" customFormat="1" ht="20.25" customHeight="1" x14ac:dyDescent="0.2">
      <c r="A34" s="30"/>
      <c r="B34" s="31"/>
      <c r="C34" s="30"/>
      <c r="D34" s="30"/>
      <c r="E34" s="30"/>
      <c r="F34" s="30"/>
      <c r="G34" s="30"/>
    </row>
    <row r="35" spans="1:7" s="25" customFormat="1" ht="20.25" customHeight="1" x14ac:dyDescent="0.2">
      <c r="A35" s="30"/>
      <c r="B35" s="31"/>
      <c r="C35" s="30"/>
      <c r="D35" s="30"/>
      <c r="E35" s="30"/>
      <c r="F35" s="30"/>
      <c r="G35" s="30"/>
    </row>
    <row r="36" spans="1:7" s="25" customFormat="1" ht="20.25" customHeight="1" x14ac:dyDescent="0.2">
      <c r="A36" s="30"/>
      <c r="B36" s="31"/>
      <c r="C36" s="30"/>
      <c r="D36" s="30"/>
      <c r="E36" s="30"/>
      <c r="F36" s="30"/>
      <c r="G36" s="30"/>
    </row>
  </sheetData>
  <mergeCells count="3">
    <mergeCell ref="A4:B4"/>
    <mergeCell ref="A10:B10"/>
    <mergeCell ref="A1:B1"/>
  </mergeCells>
  <pageMargins left="0.7" right="0.7" top="0.75" bottom="0.75" header="0.3" footer="0.3"/>
  <pageSetup scale="7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0049BAA21E7E4F80BE4AD55833F8AB" ma:contentTypeVersion="13" ma:contentTypeDescription="Crée un document." ma:contentTypeScope="" ma:versionID="cd1fc8bbec53483aa3f9624cc2137b5a">
  <xsd:schema xmlns:xsd="http://www.w3.org/2001/XMLSchema" xmlns:xs="http://www.w3.org/2001/XMLSchema" xmlns:p="http://schemas.microsoft.com/office/2006/metadata/properties" xmlns:ns2="c2923c6d-ffb4-46d1-928f-9e14e27ee7a5" xmlns:ns3="d3dc7be6-3bb6-48c1-bdd5-392fa458784e" targetNamespace="http://schemas.microsoft.com/office/2006/metadata/properties" ma:root="true" ma:fieldsID="7b19746c8114042291704d8f089d4c0a" ns2:_="" ns3:_="">
    <xsd:import namespace="c2923c6d-ffb4-46d1-928f-9e14e27ee7a5"/>
    <xsd:import namespace="d3dc7be6-3bb6-48c1-bdd5-392fa45878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23c6d-ffb4-46d1-928f-9e14e27ee7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dc7be6-3bb6-48c1-bdd5-392fa458784e"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53674D-08CC-42F9-9F7F-2CB2588194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23c6d-ffb4-46d1-928f-9e14e27ee7a5"/>
    <ds:schemaRef ds:uri="d3dc7be6-3bb6-48c1-bdd5-392fa45878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7D7709-BABE-439B-9057-AD7203A775DB}">
  <ds:schemaRefs>
    <ds:schemaRef ds:uri="http://schemas.microsoft.com/sharepoint/v3/contenttype/forms"/>
  </ds:schemaRefs>
</ds:datastoreItem>
</file>

<file path=customXml/itemProps3.xml><?xml version="1.0" encoding="utf-8"?>
<ds:datastoreItem xmlns:ds="http://schemas.openxmlformats.org/officeDocument/2006/customXml" ds:itemID="{EE656A16-0C55-4A0F-B25E-2E642AF66DE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Coût taure de remplacement</vt:lpstr>
      <vt:lpstr>Vente Génisse encan+ ASRA</vt:lpstr>
      <vt:lpstr>'Coût taure de remplacement'!Zone_d_impression</vt:lpstr>
      <vt:lpstr>'Vente Génisse encan+ ASRA'!Zone_d_impression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klarson</dc:creator>
  <cp:keywords/>
  <dc:description/>
  <cp:lastModifiedBy>Microsoft Office User</cp:lastModifiedBy>
  <cp:revision/>
  <dcterms:created xsi:type="dcterms:W3CDTF">2014-09-18T21:27:38Z</dcterms:created>
  <dcterms:modified xsi:type="dcterms:W3CDTF">2022-05-14T00:04:26Z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0x010100A10049BAA21E7E4F80BE4AD55833F8AB</vt:lpwstr>
  </property>
</Properties>
</file>